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9E6DB9E0-B01F-4CB4-85B6-CFDB3383EF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1" r:id="rId1"/>
    <sheet name="GERAÇÃO PRÓPRIA" sheetId="3" r:id="rId2"/>
    <sheet name="CONTRATOS CCVEE" sheetId="9" r:id="rId3"/>
    <sheet name="SIGFI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0" l="1"/>
  <c r="D2" i="10" l="1"/>
  <c r="C1" i="10"/>
  <c r="E2" i="9" l="1"/>
  <c r="D1" i="9"/>
  <c r="D2" i="3" l="1"/>
  <c r="C1" i="3" l="1"/>
  <c r="E4" i="10" l="1"/>
  <c r="E5" i="10"/>
  <c r="E6" i="10"/>
  <c r="J5" i="3" l="1"/>
  <c r="E6" i="3"/>
  <c r="E7" i="10"/>
  <c r="G13" i="9" l="1"/>
  <c r="J11" i="9" l="1"/>
  <c r="G6" i="9" l="1"/>
  <c r="I6" i="9" s="1"/>
  <c r="J6" i="9" s="1"/>
  <c r="G5" i="9"/>
  <c r="I5" i="9" s="1"/>
  <c r="G12" i="9"/>
  <c r="I12" i="9" s="1"/>
  <c r="J12" i="9" s="1"/>
  <c r="J5" i="9"/>
  <c r="E16" i="9"/>
  <c r="C9" i="1" s="1"/>
  <c r="C13" i="1" s="1"/>
  <c r="K11" i="9"/>
  <c r="N11" i="9" s="1"/>
  <c r="G11" i="9"/>
  <c r="I11" i="9" s="1"/>
  <c r="G10" i="9"/>
  <c r="I10" i="9" s="1"/>
  <c r="J10" i="9" s="1"/>
  <c r="G9" i="9"/>
  <c r="I9" i="9" s="1"/>
  <c r="J9" i="9" s="1"/>
  <c r="G7" i="9"/>
  <c r="I7" i="9" s="1"/>
  <c r="J7" i="9" s="1"/>
  <c r="G8" i="9"/>
  <c r="I8" i="9" s="1"/>
  <c r="J8" i="9" s="1"/>
  <c r="K6" i="9" l="1"/>
  <c r="N6" i="9" s="1"/>
  <c r="M11" i="9"/>
  <c r="O11" i="9" s="1"/>
  <c r="K5" i="9"/>
  <c r="N5" i="9" s="1"/>
  <c r="K12" i="9"/>
  <c r="N12" i="9" s="1"/>
  <c r="K8" i="9"/>
  <c r="N8" i="9" s="1"/>
  <c r="K7" i="9"/>
  <c r="N7" i="9" s="1"/>
  <c r="K9" i="9"/>
  <c r="N9" i="9" s="1"/>
  <c r="K10" i="9"/>
  <c r="N10" i="9" s="1"/>
  <c r="M12" i="9" l="1"/>
  <c r="O12" i="9" s="1"/>
  <c r="M8" i="9"/>
  <c r="O8" i="9" s="1"/>
  <c r="M6" i="9"/>
  <c r="O6" i="9" s="1"/>
  <c r="M5" i="9"/>
  <c r="O5" i="9" s="1"/>
  <c r="M10" i="9"/>
  <c r="O10" i="9" s="1"/>
  <c r="M7" i="9"/>
  <c r="O7" i="9" s="1"/>
  <c r="M9" i="9"/>
  <c r="O9" i="9" s="1"/>
  <c r="I13" i="9" l="1"/>
  <c r="J13" i="9" s="1"/>
  <c r="J14" i="9" s="1"/>
  <c r="H16" i="9"/>
  <c r="K13" i="9" l="1"/>
  <c r="M13" i="9" s="1"/>
  <c r="J15" i="9"/>
  <c r="N13" i="9" l="1"/>
  <c r="K14" i="9"/>
  <c r="M14" i="9" s="1"/>
  <c r="K15" i="9" l="1"/>
  <c r="N15" i="9" s="1"/>
  <c r="N16" i="9" s="1"/>
  <c r="N14" i="9"/>
  <c r="O14" i="9" s="1"/>
  <c r="O13" i="9"/>
  <c r="M15" i="9" l="1"/>
  <c r="M16" i="9" s="1"/>
  <c r="O15" i="9"/>
  <c r="O16" i="9" s="1"/>
  <c r="C7" i="1" s="1"/>
  <c r="H5" i="3" l="1"/>
  <c r="K5" i="3" s="1"/>
  <c r="K6" i="3" s="1"/>
  <c r="I6" i="10" l="1"/>
  <c r="I4" i="10"/>
  <c r="I5" i="10"/>
  <c r="J5" i="10" l="1"/>
  <c r="K5" i="10" s="1"/>
  <c r="J4" i="10"/>
  <c r="K4" i="10" s="1"/>
  <c r="J6" i="10"/>
  <c r="K6" i="10" s="1"/>
  <c r="K7" i="10" l="1"/>
  <c r="C6" i="1" s="1"/>
  <c r="C4" i="1" s="1"/>
  <c r="C15" i="1" l="1"/>
  <c r="C17" i="1" s="1"/>
  <c r="C14" i="1"/>
</calcChain>
</file>

<file path=xl/sharedStrings.xml><?xml version="1.0" encoding="utf-8"?>
<sst xmlns="http://schemas.openxmlformats.org/spreadsheetml/2006/main" count="126" uniqueCount="89">
  <si>
    <t>REEMBOLSO MENSAL</t>
  </si>
  <si>
    <t>REEMBOLSO PRELIMINAR</t>
  </si>
  <si>
    <t>REEMBOLSO MENSAL EFETIVO</t>
  </si>
  <si>
    <t>R$</t>
  </si>
  <si>
    <t>CEG</t>
  </si>
  <si>
    <t>O&amp;M 
(R$)</t>
  </si>
  <si>
    <t>GERAÇÃO MENSAL TOTAL</t>
  </si>
  <si>
    <t>MWh</t>
  </si>
  <si>
    <t>COMPENSAÇÃO</t>
  </si>
  <si>
    <t>ACRméd</t>
  </si>
  <si>
    <t>R$/MWh</t>
  </si>
  <si>
    <t>FATOR DE CORTE</t>
  </si>
  <si>
    <t xml:space="preserve"> - </t>
  </si>
  <si>
    <t>UTE.PE.MT.029365-2.01</t>
  </si>
  <si>
    <t>GUARIBA</t>
  </si>
  <si>
    <t>PCH SANTA LÚCIA II</t>
  </si>
  <si>
    <t>PCH PARANATINGA II</t>
  </si>
  <si>
    <t>PCH FAXINAL II</t>
  </si>
  <si>
    <t>CUSTO TOTAL DA GERAÇÃO</t>
  </si>
  <si>
    <t>PCH GARGANTA DA JARARACA</t>
  </si>
  <si>
    <t>MARGARIDA</t>
  </si>
  <si>
    <t>FAXINAL I</t>
  </si>
  <si>
    <t>SANTA LÚCIA I</t>
  </si>
  <si>
    <t>GALERA</t>
  </si>
  <si>
    <t>ARIPUANÃ</t>
  </si>
  <si>
    <t>PRATA</t>
  </si>
  <si>
    <t>MASUTTI</t>
  </si>
  <si>
    <t>ENERGISA MT</t>
  </si>
  <si>
    <t>PCH.PH.MT.027987-0.01</t>
  </si>
  <si>
    <t>CGH.PH.MT.000944-0.01</t>
  </si>
  <si>
    <t>UHE.PH.MT.027417-8.02</t>
  </si>
  <si>
    <t>PCH.PH.MT.027274-4.01</t>
  </si>
  <si>
    <t>CGH.PH.MT.001447-8.01</t>
  </si>
  <si>
    <t>PCH.PH.MT.028395-9.01</t>
  </si>
  <si>
    <t>PCH.PH.MT.028832-2.01</t>
  </si>
  <si>
    <t>PCH.PH.MT.028780-6.01</t>
  </si>
  <si>
    <t>PCH.PH.MT.028918-3.01</t>
  </si>
  <si>
    <t>CGH.PH.MT.030640-1.01</t>
  </si>
  <si>
    <t>CGH.PH.MT.000935-0.02</t>
  </si>
  <si>
    <t>DESCONTO ACR MÉDIO</t>
  </si>
  <si>
    <t>DESCONTO FATOR DE CORTE</t>
  </si>
  <si>
    <t>RIO DO SANGUE ENERGIA</t>
  </si>
  <si>
    <t>MAGGI ENERGIA</t>
  </si>
  <si>
    <t>PARANATINGA ENERGIA</t>
  </si>
  <si>
    <t>DARDANELOS</t>
  </si>
  <si>
    <t>CESIO LEMOS</t>
  </si>
  <si>
    <t>JURUENA ENERGIA</t>
  </si>
  <si>
    <t>HIDRELETRICA COMODORO</t>
  </si>
  <si>
    <t>Óleo Diesel/Biodiesel</t>
  </si>
  <si>
    <t>SIGFI 80</t>
  </si>
  <si>
    <t>SIGFI 45</t>
  </si>
  <si>
    <t>SIGFI 160</t>
  </si>
  <si>
    <t>reembolso mensal CCC - ENERGISA MT</t>
  </si>
  <si>
    <t>competência:</t>
  </si>
  <si>
    <t>1 - combustível</t>
  </si>
  <si>
    <t>2 - geração Própria</t>
  </si>
  <si>
    <t>3 - contrato</t>
  </si>
  <si>
    <t>4 - frete</t>
  </si>
  <si>
    <t>beneficiário</t>
  </si>
  <si>
    <t>usina</t>
  </si>
  <si>
    <t>combustível</t>
  </si>
  <si>
    <t>potência homologada 
(MW)</t>
  </si>
  <si>
    <t>geração 
(MWh)</t>
  </si>
  <si>
    <t>O&amp;M total 
(R$)</t>
  </si>
  <si>
    <t>equipamento próprio</t>
  </si>
  <si>
    <t>receita fixa
(R$)</t>
  </si>
  <si>
    <t>receita fixa EP
total 
(R$)</t>
  </si>
  <si>
    <t>custo total 
(R$)</t>
  </si>
  <si>
    <t>fornecedor</t>
  </si>
  <si>
    <t>valor unitário contrato (R$/MWh)</t>
  </si>
  <si>
    <t>total (geração x valor unitário contrato) (R$)</t>
  </si>
  <si>
    <t>valor total NF
(R$)</t>
  </si>
  <si>
    <t>valor considerado (R$)</t>
  </si>
  <si>
    <t>valor unitário considerado (R$/MWh)</t>
  </si>
  <si>
    <t>valor unitário PIS/COFINS considerado (R$)</t>
  </si>
  <si>
    <t>% não recuperado PIS/COFINS</t>
  </si>
  <si>
    <t>custo líquido (R$)</t>
  </si>
  <si>
    <t>custo tributo
(R$)</t>
  </si>
  <si>
    <t>custo total (R$)</t>
  </si>
  <si>
    <t>modelo</t>
  </si>
  <si>
    <t>potência por unidade (MW)</t>
  </si>
  <si>
    <t>n° de sistemas</t>
  </si>
  <si>
    <t>potência (disponib.) [MWh]/mês</t>
  </si>
  <si>
    <t>custo de O&amp;M atualizado (R$/MWh)</t>
  </si>
  <si>
    <t>custo O&amp;M unitário [R$/MW.h]</t>
  </si>
  <si>
    <t>custo total O&amp;M [R$]</t>
  </si>
  <si>
    <t>IPCA base (09/2025)</t>
  </si>
  <si>
    <t xml:space="preserve">IPCA atualizado </t>
  </si>
  <si>
    <t>Custo anual de manutenção (CAM)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</si>
</sst>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\ h:mm;@"/>
    <numFmt numFmtId="165" formatCode="mmmm/yyyy"/>
    <numFmt numFmtId="166" formatCode="_-* #,##0.000_-;\-* #,##0.000_-;_-* &quot;-&quot;??_-;_-@_-"/>
    <numFmt numFmtId="167" formatCode="#,##0.000"/>
    <numFmt numFmtId="168" formatCode="_-* #,##0.000000_-;\-* #,##0.000000_-;_-* &quot;-&quot;??_-;_-@_-"/>
    <numFmt numFmtId="169" formatCode="_-* #,##0.00000000_-;\-* #,##0.00000000_-;_-* &quot;-&quot;??_-;_-@_-"/>
    <numFmt numFmtId="170" formatCode="_-* #,##0.00000_-;\-* #,##0.00000_-;_-* &quot;-&quot;??_-;_-@_-"/>
    <numFmt numFmtId="171" formatCode="_-* #,##0_-;\-* #,##0_-;_-* &quot;-&quot;??_-;_-@_-"/>
  </numFmts>
  <fonts count="14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sz val="11"/>
      <color theme="0"/>
      <name val="Inter"/>
      <family val="2"/>
      <scheme val="minor"/>
    </font>
    <font>
      <b/>
      <i/>
      <sz val="22"/>
      <color rgb="FF002060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sz val="11"/>
      <color theme="4"/>
      <name val="Inter"/>
      <family val="2"/>
      <scheme val="minor"/>
    </font>
    <font>
      <sz val="11"/>
      <color theme="4"/>
      <name val="Inter"/>
      <family val="3"/>
      <scheme val="minor"/>
    </font>
    <font>
      <b/>
      <i/>
      <sz val="12"/>
      <color theme="4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sz val="11"/>
      <color theme="4"/>
      <name val="Inter"/>
      <family val="2"/>
      <scheme val="minor"/>
    </font>
    <font>
      <b/>
      <u val="double"/>
      <sz val="11"/>
      <color theme="4"/>
      <name val="Inter"/>
      <family val="2"/>
      <scheme val="minor"/>
    </font>
    <font>
      <b/>
      <u val="doubleAccounting"/>
      <sz val="11"/>
      <color theme="4"/>
      <name val="Inter"/>
      <family val="2"/>
      <scheme val="minor"/>
    </font>
    <font>
      <u val="double"/>
      <sz val="11"/>
      <color theme="4"/>
      <name val="Inter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43" fontId="0" fillId="0" borderId="0" xfId="0" applyNumberFormat="1"/>
    <xf numFmtId="168" fontId="0" fillId="0" borderId="0" xfId="4" applyNumberFormat="1" applyFont="1"/>
    <xf numFmtId="168" fontId="0" fillId="0" borderId="0" xfId="0" applyNumberFormat="1"/>
    <xf numFmtId="169" fontId="0" fillId="0" borderId="0" xfId="4" applyNumberFormat="1" applyFont="1" applyBorder="1"/>
    <xf numFmtId="169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43" fontId="6" fillId="2" borderId="4" xfId="0" applyNumberFormat="1" applyFont="1" applyFill="1" applyBorder="1" applyAlignment="1">
      <alignment horizontal="left" vertical="center"/>
    </xf>
    <xf numFmtId="43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3" fontId="0" fillId="0" borderId="4" xfId="0" applyNumberFormat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3" fontId="0" fillId="0" borderId="4" xfId="4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9" fontId="0" fillId="0" borderId="4" xfId="1" applyFont="1" applyBorder="1" applyAlignment="1">
      <alignment vertical="center"/>
    </xf>
    <xf numFmtId="168" fontId="0" fillId="0" borderId="0" xfId="0" applyNumberFormat="1" applyAlignment="1">
      <alignment vertical="center"/>
    </xf>
    <xf numFmtId="16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left" vertical="center"/>
    </xf>
    <xf numFmtId="171" fontId="0" fillId="0" borderId="4" xfId="4" applyNumberFormat="1" applyFont="1" applyBorder="1" applyAlignment="1">
      <alignment horizontal="left" vertical="center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43" fontId="12" fillId="0" borderId="0" xfId="4" applyFont="1" applyAlignment="1">
      <alignment vertical="center"/>
    </xf>
    <xf numFmtId="16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4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43" fontId="7" fillId="3" borderId="4" xfId="0" applyNumberFormat="1" applyFont="1" applyFill="1" applyBorder="1" applyAlignment="1">
      <alignment horizontal="right" vertical="center"/>
    </xf>
    <xf numFmtId="166" fontId="0" fillId="0" borderId="4" xfId="0" applyNumberForma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170" fontId="0" fillId="0" borderId="4" xfId="4" applyNumberFormat="1" applyFont="1" applyBorder="1" applyAlignment="1">
      <alignment horizontal="center" vertical="center"/>
    </xf>
    <xf numFmtId="43" fontId="0" fillId="0" borderId="4" xfId="4" applyFont="1" applyBorder="1" applyAlignment="1">
      <alignment horizontal="center" vertical="center"/>
    </xf>
  </cellXfs>
  <cellStyles count="5">
    <cellStyle name="Moeda 2" xfId="3" xr:uid="{00000000-0005-0000-0000-000000000000}"/>
    <cellStyle name="Normal" xfId="0" builtinId="0"/>
    <cellStyle name="Porcentagem" xfId="1" builtinId="5"/>
    <cellStyle name="Vírgula" xfId="4" builtinId="3"/>
    <cellStyle name="Vírgula 2" xfId="2" xr:uid="{00000000-0005-0000-0000-000004000000}"/>
  </cellStyles>
  <dxfs count="0"/>
  <tableStyles count="1" defaultTableStyle="TableStyleMedium2" defaultPivotStyle="PivotStyleLight16">
    <tableStyle name="Invisible" pivot="0" table="0" count="0" xr9:uid="{6BC13BB8-7D6B-4A6A-8969-3578D78E7D8F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B2CBD424-9514-4A8D-8D6D-1CB081BE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1609725</xdr:colOff>
      <xdr:row>0</xdr:row>
      <xdr:rowOff>580643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723C8FCA-D3E4-4326-A1B0-EFA9567D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1</xdr:col>
      <xdr:colOff>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194C0A9A-05B3-412B-A17F-D98F4E42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90856ABB-9A23-4712-B482-593002B4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GridLines="0" tabSelected="1" topLeftCell="A7" workbookViewId="0">
      <selection activeCell="A17" sqref="A17"/>
    </sheetView>
  </sheetViews>
  <sheetFormatPr defaultColWidth="9.1640625" defaultRowHeight="19.5" customHeight="1"/>
  <cols>
    <col min="1" max="1" width="61.6640625" customWidth="1"/>
    <col min="2" max="2" width="16.33203125" customWidth="1"/>
    <col min="3" max="3" width="30.6640625" customWidth="1"/>
    <col min="4" max="4" width="12.58203125" bestFit="1" customWidth="1"/>
    <col min="5" max="5" width="14.1640625" customWidth="1"/>
    <col min="6" max="6" width="13.1640625" customWidth="1"/>
    <col min="7" max="7" width="19.33203125" customWidth="1"/>
  </cols>
  <sheetData>
    <row r="1" spans="1:8" ht="49.5" customHeight="1">
      <c r="C1" s="24" t="s">
        <v>52</v>
      </c>
    </row>
    <row r="2" spans="1:8" ht="19.5" customHeight="1">
      <c r="B2" s="23" t="s">
        <v>53</v>
      </c>
      <c r="C2" s="12">
        <v>46143</v>
      </c>
    </row>
    <row r="3" spans="1:8" ht="19.5" customHeight="1">
      <c r="B3" s="1"/>
      <c r="C3" s="12"/>
    </row>
    <row r="4" spans="1:8" ht="30" customHeight="1">
      <c r="A4" s="18" t="s">
        <v>18</v>
      </c>
      <c r="B4" s="19" t="s">
        <v>3</v>
      </c>
      <c r="C4" s="20">
        <f>ROUND(SUM(C5:C8),6)</f>
        <v>11042870.055441</v>
      </c>
      <c r="E4" s="13"/>
      <c r="F4" s="13"/>
      <c r="G4" s="16"/>
    </row>
    <row r="5" spans="1:8" ht="19.5" customHeight="1">
      <c r="A5" s="25" t="s">
        <v>54</v>
      </c>
      <c r="B5" s="26" t="s">
        <v>3</v>
      </c>
      <c r="C5" s="27">
        <v>0</v>
      </c>
      <c r="E5" s="13"/>
      <c r="F5" s="13"/>
    </row>
    <row r="6" spans="1:8" ht="19.5" customHeight="1">
      <c r="A6" s="25" t="s">
        <v>55</v>
      </c>
      <c r="B6" s="26" t="s">
        <v>3</v>
      </c>
      <c r="C6" s="27">
        <f>'GERAÇÃO PRÓPRIA'!$K$6+SIGFI!K7</f>
        <v>1846294.8418500002</v>
      </c>
      <c r="E6" s="13"/>
      <c r="F6" s="13"/>
    </row>
    <row r="7" spans="1:8" ht="19.5" customHeight="1">
      <c r="A7" s="25" t="s">
        <v>56</v>
      </c>
      <c r="B7" s="26" t="s">
        <v>3</v>
      </c>
      <c r="C7" s="27">
        <f>'CONTRATOS CCVEE'!$O$16</f>
        <v>9196575.2135910001</v>
      </c>
      <c r="E7" s="13"/>
      <c r="F7" s="13"/>
    </row>
    <row r="8" spans="1:8" ht="19.5" customHeight="1">
      <c r="A8" s="25" t="s">
        <v>57</v>
      </c>
      <c r="B8" s="26" t="s">
        <v>3</v>
      </c>
      <c r="C8" s="27">
        <v>0</v>
      </c>
      <c r="F8" s="13"/>
    </row>
    <row r="9" spans="1:8" ht="19.5" customHeight="1">
      <c r="A9" s="25" t="s">
        <v>6</v>
      </c>
      <c r="B9" s="26" t="s">
        <v>7</v>
      </c>
      <c r="C9" s="27">
        <f>'CONTRATOS CCVEE'!E16+'GERAÇÃO PRÓPRIA'!E6+SIGFI!E7</f>
        <v>22608.198</v>
      </c>
      <c r="E9" s="13"/>
      <c r="F9" s="13"/>
      <c r="G9" s="17"/>
      <c r="H9" s="13"/>
    </row>
    <row r="10" spans="1:8" ht="19.5" customHeight="1">
      <c r="A10" s="25" t="s">
        <v>8</v>
      </c>
      <c r="B10" s="26" t="s">
        <v>3</v>
      </c>
      <c r="C10" s="27">
        <v>0</v>
      </c>
      <c r="F10" s="13"/>
      <c r="G10" s="17"/>
    </row>
    <row r="11" spans="1:8" ht="19.5" customHeight="1">
      <c r="A11" s="25" t="s">
        <v>9</v>
      </c>
      <c r="B11" s="26" t="s">
        <v>10</v>
      </c>
      <c r="C11" s="27">
        <v>342.71</v>
      </c>
      <c r="E11" s="13"/>
      <c r="F11" s="13"/>
      <c r="G11" s="17"/>
    </row>
    <row r="12" spans="1:8" ht="19.5" customHeight="1">
      <c r="A12" s="25" t="s">
        <v>11</v>
      </c>
      <c r="B12" s="26" t="s">
        <v>12</v>
      </c>
      <c r="C12" s="52">
        <v>1</v>
      </c>
      <c r="E12" s="13"/>
      <c r="F12" s="13"/>
      <c r="G12" s="17"/>
    </row>
    <row r="13" spans="1:8" ht="19.5" customHeight="1">
      <c r="A13" s="49" t="s">
        <v>39</v>
      </c>
      <c r="B13" s="50" t="s">
        <v>3</v>
      </c>
      <c r="C13" s="51">
        <f>-ROUND(C9*C11,2)</f>
        <v>-7748055.54</v>
      </c>
      <c r="E13" s="13"/>
      <c r="F13" s="13"/>
      <c r="G13" s="17"/>
    </row>
    <row r="14" spans="1:8" ht="19.5" customHeight="1">
      <c r="A14" s="49" t="s">
        <v>40</v>
      </c>
      <c r="B14" s="50" t="s">
        <v>3</v>
      </c>
      <c r="C14" s="51">
        <f>+ROUND((C4+C13)*(C12-1),2)</f>
        <v>0</v>
      </c>
      <c r="E14" s="13"/>
      <c r="F14" s="13"/>
      <c r="G14" s="17"/>
    </row>
    <row r="15" spans="1:8" ht="19.5" customHeight="1">
      <c r="A15" s="18" t="s">
        <v>0</v>
      </c>
      <c r="B15" s="19" t="s">
        <v>3</v>
      </c>
      <c r="C15" s="21">
        <f>ROUND(C4+ROUND((C4-ROUND(C9*C11,2))*(C12-1),2)-ROUND(C9*C11,2),2)</f>
        <v>3294814.52</v>
      </c>
      <c r="E15" s="13"/>
      <c r="F15" s="13"/>
    </row>
    <row r="16" spans="1:8" ht="19.5" customHeight="1">
      <c r="A16" s="18" t="s">
        <v>1</v>
      </c>
      <c r="B16" s="19" t="s">
        <v>3</v>
      </c>
      <c r="C16" s="21">
        <v>0</v>
      </c>
      <c r="E16" s="13"/>
      <c r="F16" s="13"/>
    </row>
    <row r="17" spans="1:6" ht="19.5" customHeight="1">
      <c r="A17" s="18" t="s">
        <v>2</v>
      </c>
      <c r="B17" s="19" t="s">
        <v>3</v>
      </c>
      <c r="C17" s="21">
        <f>IF(C15-C16&lt;0,0,C15-C16)</f>
        <v>3294814.52</v>
      </c>
      <c r="D17" s="13"/>
      <c r="F17" s="1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"/>
  <sheetViews>
    <sheetView showGridLines="0" workbookViewId="0">
      <selection activeCell="E5" sqref="E5"/>
    </sheetView>
  </sheetViews>
  <sheetFormatPr defaultRowHeight="19.5" customHeight="1"/>
  <cols>
    <col min="1" max="1" width="30.6640625" customWidth="1"/>
    <col min="2" max="2" width="28.1640625" customWidth="1"/>
    <col min="3" max="3" width="24.1640625" customWidth="1"/>
    <col min="4" max="17" width="20.6640625" customWidth="1"/>
  </cols>
  <sheetData>
    <row r="1" spans="1:25" ht="49.5" customHeight="1">
      <c r="C1" s="2" t="str">
        <f>RESUMO!C1</f>
        <v>reembolso mensal CCC - ENERGISA MT</v>
      </c>
    </row>
    <row r="2" spans="1:25" ht="30" customHeight="1">
      <c r="C2" s="4" t="s">
        <v>53</v>
      </c>
      <c r="D2" s="12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</row>
    <row r="3" spans="1:25" s="9" customFormat="1" ht="30" customHeight="1">
      <c r="A3" s="7"/>
      <c r="B3" s="7"/>
      <c r="C3" s="7"/>
      <c r="D3" s="7"/>
      <c r="E3" s="8"/>
      <c r="F3" s="8"/>
      <c r="G3" s="53" t="s">
        <v>64</v>
      </c>
      <c r="H3" s="53"/>
      <c r="I3" s="53" t="s">
        <v>64</v>
      </c>
      <c r="J3" s="53"/>
      <c r="K3" s="6"/>
      <c r="L3" s="10"/>
      <c r="M3" s="10"/>
      <c r="N3" s="5"/>
      <c r="O3" s="5"/>
      <c r="P3" s="5"/>
      <c r="U3" s="11"/>
      <c r="V3" s="11"/>
      <c r="W3" s="3"/>
      <c r="X3" s="3"/>
      <c r="Y3" s="3"/>
    </row>
    <row r="4" spans="1:25" s="9" customFormat="1" ht="60" customHeight="1">
      <c r="A4" s="22" t="s">
        <v>58</v>
      </c>
      <c r="B4" s="22" t="s">
        <v>4</v>
      </c>
      <c r="C4" s="22" t="s">
        <v>59</v>
      </c>
      <c r="D4" s="22" t="s">
        <v>61</v>
      </c>
      <c r="E4" s="22" t="s">
        <v>62</v>
      </c>
      <c r="F4" s="22" t="s">
        <v>60</v>
      </c>
      <c r="G4" s="22" t="s">
        <v>5</v>
      </c>
      <c r="H4" s="22" t="s">
        <v>63</v>
      </c>
      <c r="I4" s="22" t="s">
        <v>65</v>
      </c>
      <c r="J4" s="22" t="s">
        <v>66</v>
      </c>
      <c r="K4" s="22" t="s">
        <v>67</v>
      </c>
      <c r="L4" s="10"/>
      <c r="M4" s="10"/>
      <c r="N4" s="5"/>
      <c r="O4" s="5"/>
      <c r="P4" s="5"/>
      <c r="U4" s="11"/>
      <c r="V4" s="11"/>
      <c r="W4" s="3"/>
      <c r="X4" s="3"/>
      <c r="Y4" s="3"/>
    </row>
    <row r="5" spans="1:25" s="9" customFormat="1" ht="20.149999999999999" customHeight="1">
      <c r="A5" s="26" t="s">
        <v>27</v>
      </c>
      <c r="B5" s="26" t="s">
        <v>13</v>
      </c>
      <c r="C5" s="26" t="s">
        <v>14</v>
      </c>
      <c r="D5" s="29">
        <v>1.75</v>
      </c>
      <c r="E5" s="29">
        <v>0</v>
      </c>
      <c r="F5" s="30" t="s">
        <v>48</v>
      </c>
      <c r="G5" s="30">
        <v>241.55635447723549</v>
      </c>
      <c r="H5" s="30">
        <f>ROUND(E5*G5,6)</f>
        <v>0</v>
      </c>
      <c r="I5" s="29">
        <v>0</v>
      </c>
      <c r="J5" s="30">
        <f>ROUND(E5*I5,6)</f>
        <v>0</v>
      </c>
      <c r="K5" s="29">
        <f>H5+J5</f>
        <v>0</v>
      </c>
      <c r="L5" s="10"/>
      <c r="M5" s="10"/>
      <c r="N5" s="5"/>
      <c r="O5" s="5"/>
      <c r="P5" s="5"/>
      <c r="U5" s="11"/>
      <c r="V5" s="11"/>
      <c r="W5" s="3"/>
      <c r="X5" s="3"/>
      <c r="Y5" s="3"/>
    </row>
    <row r="6" spans="1:25" s="44" customFormat="1" ht="20.149999999999999" customHeight="1">
      <c r="A6" s="40"/>
      <c r="B6" s="40"/>
      <c r="C6" s="40"/>
      <c r="D6" s="40"/>
      <c r="E6" s="41">
        <f>SUM(E4:E5)</f>
        <v>0</v>
      </c>
      <c r="F6" s="42"/>
      <c r="G6" s="42"/>
      <c r="H6" s="42"/>
      <c r="I6" s="42"/>
      <c r="J6" s="42"/>
      <c r="K6" s="43">
        <f>SUM(K4:K5)</f>
        <v>0</v>
      </c>
      <c r="L6" s="42"/>
      <c r="M6" s="42"/>
      <c r="N6" s="40"/>
      <c r="O6" s="40"/>
      <c r="P6" s="40"/>
      <c r="U6" s="45"/>
      <c r="V6" s="45"/>
      <c r="W6" s="37"/>
      <c r="X6" s="37"/>
      <c r="Y6" s="37"/>
    </row>
  </sheetData>
  <mergeCells count="2">
    <mergeCell ref="G3:H3"/>
    <mergeCell ref="I3:J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7"/>
  <sheetViews>
    <sheetView showGridLines="0" workbookViewId="0">
      <selection activeCell="A4" sqref="A4"/>
    </sheetView>
  </sheetViews>
  <sheetFormatPr defaultColWidth="9.1640625" defaultRowHeight="19.5" customHeight="1"/>
  <cols>
    <col min="1" max="1" width="19.58203125" customWidth="1"/>
    <col min="2" max="2" width="25.1640625" customWidth="1"/>
    <col min="3" max="3" width="22.58203125" customWidth="1"/>
    <col min="4" max="4" width="30.6640625" customWidth="1"/>
    <col min="5" max="15" width="17.33203125" customWidth="1"/>
    <col min="16" max="21" width="20.6640625" customWidth="1"/>
  </cols>
  <sheetData>
    <row r="1" spans="1:29" ht="49.5" customHeight="1">
      <c r="D1" s="2" t="str">
        <f>RESUMO!C1</f>
        <v>reembolso mensal CCC - ENERGISA MT</v>
      </c>
      <c r="E1" s="2"/>
      <c r="G1" s="2"/>
      <c r="I1" s="2"/>
    </row>
    <row r="2" spans="1:29" ht="30" customHeight="1">
      <c r="D2" s="4" t="s">
        <v>53</v>
      </c>
      <c r="E2" s="12">
        <f>RESUMO!C2</f>
        <v>46143</v>
      </c>
      <c r="G2" s="4"/>
      <c r="I2" s="4"/>
      <c r="J2" s="5"/>
      <c r="K2" s="5"/>
      <c r="L2" s="5"/>
      <c r="M2" s="5"/>
      <c r="N2" s="5"/>
      <c r="O2" s="5"/>
      <c r="P2" s="5"/>
      <c r="Q2" s="5"/>
    </row>
    <row r="3" spans="1:29" s="9" customFormat="1" ht="14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0"/>
      <c r="Q3" s="10"/>
      <c r="R3" s="5"/>
      <c r="S3" s="5"/>
      <c r="T3" s="5"/>
      <c r="Y3" s="11"/>
      <c r="Z3" s="11"/>
      <c r="AA3" s="3"/>
      <c r="AB3" s="3"/>
      <c r="AC3" s="3"/>
    </row>
    <row r="4" spans="1:29" s="9" customFormat="1" ht="60" customHeight="1">
      <c r="A4" s="22" t="s">
        <v>58</v>
      </c>
      <c r="B4" s="22" t="s">
        <v>68</v>
      </c>
      <c r="C4" s="22" t="s">
        <v>4</v>
      </c>
      <c r="D4" s="22" t="s">
        <v>59</v>
      </c>
      <c r="E4" s="22" t="s">
        <v>62</v>
      </c>
      <c r="F4" s="22" t="s">
        <v>69</v>
      </c>
      <c r="G4" s="22" t="s">
        <v>70</v>
      </c>
      <c r="H4" s="22" t="s">
        <v>71</v>
      </c>
      <c r="I4" s="22" t="s">
        <v>72</v>
      </c>
      <c r="J4" s="22" t="s">
        <v>73</v>
      </c>
      <c r="K4" s="22" t="s">
        <v>74</v>
      </c>
      <c r="L4" s="22" t="s">
        <v>75</v>
      </c>
      <c r="M4" s="22" t="s">
        <v>76</v>
      </c>
      <c r="N4" s="22" t="s">
        <v>77</v>
      </c>
      <c r="O4" s="22" t="s">
        <v>78</v>
      </c>
      <c r="P4" s="10"/>
      <c r="Q4" s="10"/>
      <c r="R4" s="5"/>
      <c r="S4" s="5"/>
      <c r="T4" s="5"/>
      <c r="Y4" s="11"/>
      <c r="Z4" s="11"/>
      <c r="AA4" s="3"/>
      <c r="AB4" s="3"/>
      <c r="AC4" s="3"/>
    </row>
    <row r="5" spans="1:29" s="9" customFormat="1" ht="20.149999999999999" customHeight="1">
      <c r="A5" s="26" t="s">
        <v>27</v>
      </c>
      <c r="B5" s="26" t="s">
        <v>41</v>
      </c>
      <c r="C5" s="26" t="s">
        <v>36</v>
      </c>
      <c r="D5" s="26" t="s">
        <v>19</v>
      </c>
      <c r="E5" s="31">
        <v>0</v>
      </c>
      <c r="F5" s="29">
        <v>0</v>
      </c>
      <c r="G5" s="29">
        <f>ROUND(F5*E5,6)</f>
        <v>0</v>
      </c>
      <c r="H5" s="29">
        <v>0</v>
      </c>
      <c r="I5" s="29">
        <f>MIN(G5:H5)</f>
        <v>0</v>
      </c>
      <c r="J5" s="30">
        <f t="shared" ref="J5:J12" si="0">IF(E5=0,0,ROUND(I5/E5,6))</f>
        <v>0</v>
      </c>
      <c r="K5" s="30">
        <f>ROUND(J5*0.0925,6)</f>
        <v>0</v>
      </c>
      <c r="L5" s="32">
        <v>1</v>
      </c>
      <c r="M5" s="30">
        <f t="shared" ref="M5:M15" si="1">ROUND((J5-K5)*E5,6)</f>
        <v>0</v>
      </c>
      <c r="N5" s="30">
        <f t="shared" ref="N5:N15" si="2">ROUND(K5*E5*L5,6)</f>
        <v>0</v>
      </c>
      <c r="O5" s="30">
        <f>SUM(M5:N5)</f>
        <v>0</v>
      </c>
      <c r="P5" s="33"/>
      <c r="Q5" s="10"/>
      <c r="R5" s="5"/>
      <c r="S5" s="5"/>
      <c r="T5" s="5"/>
      <c r="Y5" s="11"/>
      <c r="Z5" s="11"/>
      <c r="AA5" s="3"/>
      <c r="AB5" s="3"/>
      <c r="AC5" s="3"/>
    </row>
    <row r="6" spans="1:29" s="9" customFormat="1" ht="20.149999999999999" customHeight="1">
      <c r="A6" s="26" t="s">
        <v>27</v>
      </c>
      <c r="B6" s="26" t="s">
        <v>42</v>
      </c>
      <c r="C6" s="26" t="s">
        <v>33</v>
      </c>
      <c r="D6" s="26" t="s">
        <v>15</v>
      </c>
      <c r="E6" s="31">
        <v>5124.8280000000004</v>
      </c>
      <c r="F6" s="29">
        <v>425.53</v>
      </c>
      <c r="G6" s="29">
        <f t="shared" ref="G6:G12" si="3">ROUND(F6*E6,6)</f>
        <v>2180768.0588400001</v>
      </c>
      <c r="H6" s="29">
        <v>2180768.06</v>
      </c>
      <c r="I6" s="29">
        <f t="shared" ref="I6:I12" si="4">MIN(G6:H6)</f>
        <v>2180768.0588400001</v>
      </c>
      <c r="J6" s="30">
        <f t="shared" si="0"/>
        <v>425.53</v>
      </c>
      <c r="K6" s="30">
        <f t="shared" ref="K6:K12" si="5">ROUND(J6*0.0925,6)</f>
        <v>39.361525</v>
      </c>
      <c r="L6" s="32">
        <v>1</v>
      </c>
      <c r="M6" s="30">
        <f t="shared" si="1"/>
        <v>1979047.013397</v>
      </c>
      <c r="N6" s="30">
        <f t="shared" si="2"/>
        <v>201721.04544300001</v>
      </c>
      <c r="O6" s="30">
        <f t="shared" ref="O6:O15" si="6">SUM(M6:N6)</f>
        <v>2180768.0588400001</v>
      </c>
      <c r="P6" s="33"/>
      <c r="Q6" s="10"/>
      <c r="R6" s="5"/>
      <c r="S6" s="5"/>
      <c r="T6" s="5"/>
      <c r="Y6" s="11"/>
      <c r="Z6" s="11"/>
      <c r="AA6" s="3"/>
      <c r="AB6" s="3"/>
      <c r="AC6" s="3"/>
    </row>
    <row r="7" spans="1:29" s="9" customFormat="1" ht="20.149999999999999" customHeight="1">
      <c r="A7" s="26" t="s">
        <v>27</v>
      </c>
      <c r="B7" s="26" t="s">
        <v>43</v>
      </c>
      <c r="C7" s="26" t="s">
        <v>34</v>
      </c>
      <c r="D7" s="26" t="s">
        <v>16</v>
      </c>
      <c r="E7" s="31">
        <v>0</v>
      </c>
      <c r="F7" s="29">
        <v>0</v>
      </c>
      <c r="G7" s="29">
        <f t="shared" si="3"/>
        <v>0</v>
      </c>
      <c r="H7" s="29">
        <v>0</v>
      </c>
      <c r="I7" s="29">
        <f t="shared" si="4"/>
        <v>0</v>
      </c>
      <c r="J7" s="30">
        <f t="shared" si="0"/>
        <v>0</v>
      </c>
      <c r="K7" s="30">
        <f t="shared" si="5"/>
        <v>0</v>
      </c>
      <c r="L7" s="32">
        <v>1</v>
      </c>
      <c r="M7" s="30">
        <f t="shared" si="1"/>
        <v>0</v>
      </c>
      <c r="N7" s="30">
        <f t="shared" si="2"/>
        <v>0</v>
      </c>
      <c r="O7" s="30">
        <f t="shared" si="6"/>
        <v>0</v>
      </c>
      <c r="P7" s="33"/>
      <c r="Q7" s="10"/>
      <c r="R7" s="5"/>
      <c r="S7" s="5"/>
      <c r="T7" s="5"/>
      <c r="Y7" s="11"/>
      <c r="Z7" s="11"/>
      <c r="AA7" s="3"/>
      <c r="AB7" s="3"/>
      <c r="AC7" s="3"/>
    </row>
    <row r="8" spans="1:29" s="9" customFormat="1" ht="20.149999999999999" customHeight="1">
      <c r="A8" s="26" t="s">
        <v>27</v>
      </c>
      <c r="B8" s="26" t="s">
        <v>44</v>
      </c>
      <c r="C8" s="26" t="s">
        <v>35</v>
      </c>
      <c r="D8" s="26" t="s">
        <v>17</v>
      </c>
      <c r="E8" s="31">
        <v>10372.57</v>
      </c>
      <c r="F8" s="29">
        <v>370.890106</v>
      </c>
      <c r="G8" s="29">
        <f t="shared" si="3"/>
        <v>3847083.5867920001</v>
      </c>
      <c r="H8" s="29">
        <v>3847083.59</v>
      </c>
      <c r="I8" s="29">
        <f t="shared" si="4"/>
        <v>3847083.5867920001</v>
      </c>
      <c r="J8" s="30">
        <f t="shared" si="0"/>
        <v>370.890106</v>
      </c>
      <c r="K8" s="30">
        <f t="shared" si="5"/>
        <v>34.307335000000002</v>
      </c>
      <c r="L8" s="32">
        <v>1</v>
      </c>
      <c r="M8" s="30">
        <f t="shared" si="1"/>
        <v>3491228.3529909998</v>
      </c>
      <c r="N8" s="30">
        <f t="shared" si="2"/>
        <v>355855.23380099999</v>
      </c>
      <c r="O8" s="30">
        <f t="shared" si="6"/>
        <v>3847083.5867919996</v>
      </c>
      <c r="P8" s="33"/>
      <c r="Q8" s="10"/>
      <c r="R8" s="5"/>
      <c r="S8" s="5"/>
      <c r="T8" s="5"/>
      <c r="Y8" s="11"/>
      <c r="Z8" s="11"/>
      <c r="AA8" s="3"/>
      <c r="AB8" s="3"/>
      <c r="AC8" s="3"/>
    </row>
    <row r="9" spans="1:29" s="9" customFormat="1" ht="20.149999999999999" customHeight="1">
      <c r="A9" s="26" t="s">
        <v>27</v>
      </c>
      <c r="B9" s="26" t="s">
        <v>44</v>
      </c>
      <c r="C9" s="26" t="s">
        <v>38</v>
      </c>
      <c r="D9" s="26" t="s">
        <v>21</v>
      </c>
      <c r="E9" s="31">
        <v>1976.71</v>
      </c>
      <c r="F9" s="29">
        <v>432.20934299999999</v>
      </c>
      <c r="G9" s="29">
        <f t="shared" si="3"/>
        <v>854352.53040199995</v>
      </c>
      <c r="H9" s="29">
        <v>854352.53</v>
      </c>
      <c r="I9" s="29">
        <f t="shared" si="4"/>
        <v>854352.53</v>
      </c>
      <c r="J9" s="30">
        <f t="shared" si="0"/>
        <v>432.20934299999999</v>
      </c>
      <c r="K9" s="30">
        <f t="shared" si="5"/>
        <v>39.979363999999997</v>
      </c>
      <c r="L9" s="32">
        <v>1</v>
      </c>
      <c r="M9" s="30">
        <f t="shared" si="1"/>
        <v>775324.92178900004</v>
      </c>
      <c r="N9" s="30">
        <f t="shared" si="2"/>
        <v>79027.608611999996</v>
      </c>
      <c r="O9" s="30">
        <f t="shared" si="6"/>
        <v>854352.53040100005</v>
      </c>
      <c r="P9" s="33"/>
      <c r="Q9" s="10"/>
      <c r="R9" s="5"/>
      <c r="S9" s="5"/>
      <c r="T9" s="5"/>
      <c r="Y9" s="11"/>
      <c r="Z9" s="11"/>
      <c r="AA9" s="3"/>
      <c r="AB9" s="3"/>
      <c r="AC9" s="3"/>
    </row>
    <row r="10" spans="1:29" s="9" customFormat="1" ht="20.149999999999999" customHeight="1">
      <c r="A10" s="26" t="s">
        <v>27</v>
      </c>
      <c r="B10" s="26" t="s">
        <v>42</v>
      </c>
      <c r="C10" s="26" t="s">
        <v>28</v>
      </c>
      <c r="D10" s="26" t="s">
        <v>22</v>
      </c>
      <c r="E10" s="31">
        <v>2509.4059999999999</v>
      </c>
      <c r="F10" s="29">
        <v>445.64999799999998</v>
      </c>
      <c r="G10" s="29">
        <f t="shared" si="3"/>
        <v>1118316.7788809999</v>
      </c>
      <c r="H10" s="29">
        <v>1118316.78</v>
      </c>
      <c r="I10" s="29">
        <f t="shared" si="4"/>
        <v>1118316.7788809999</v>
      </c>
      <c r="J10" s="30">
        <f t="shared" si="0"/>
        <v>445.64999799999998</v>
      </c>
      <c r="K10" s="30">
        <f t="shared" si="5"/>
        <v>41.222625000000001</v>
      </c>
      <c r="L10" s="32">
        <v>1</v>
      </c>
      <c r="M10" s="30">
        <f t="shared" si="1"/>
        <v>1014872.47637</v>
      </c>
      <c r="N10" s="30">
        <f t="shared" si="2"/>
        <v>103444.302511</v>
      </c>
      <c r="O10" s="30">
        <f t="shared" si="6"/>
        <v>1118316.7788810001</v>
      </c>
      <c r="P10" s="33"/>
      <c r="Q10" s="10"/>
      <c r="R10" s="5"/>
      <c r="S10" s="5"/>
      <c r="T10" s="5"/>
      <c r="Y10" s="11"/>
      <c r="Z10" s="11"/>
      <c r="AA10" s="3"/>
      <c r="AB10" s="3"/>
      <c r="AC10" s="3"/>
    </row>
    <row r="11" spans="1:29" s="9" customFormat="1" ht="20.149999999999999" customHeight="1">
      <c r="A11" s="26" t="s">
        <v>27</v>
      </c>
      <c r="B11" s="26" t="s">
        <v>45</v>
      </c>
      <c r="C11" s="26" t="s">
        <v>29</v>
      </c>
      <c r="D11" s="26" t="s">
        <v>23</v>
      </c>
      <c r="E11" s="31">
        <v>0</v>
      </c>
      <c r="F11" s="29">
        <v>0</v>
      </c>
      <c r="G11" s="29">
        <f t="shared" si="3"/>
        <v>0</v>
      </c>
      <c r="H11" s="29">
        <v>0</v>
      </c>
      <c r="I11" s="29">
        <f t="shared" si="4"/>
        <v>0</v>
      </c>
      <c r="J11" s="30">
        <f t="shared" si="0"/>
        <v>0</v>
      </c>
      <c r="K11" s="30">
        <f t="shared" si="5"/>
        <v>0</v>
      </c>
      <c r="L11" s="32">
        <v>1</v>
      </c>
      <c r="M11" s="30">
        <f t="shared" si="1"/>
        <v>0</v>
      </c>
      <c r="N11" s="30">
        <f t="shared" si="2"/>
        <v>0</v>
      </c>
      <c r="O11" s="30">
        <f t="shared" si="6"/>
        <v>0</v>
      </c>
      <c r="P11" s="33"/>
      <c r="Q11" s="10"/>
      <c r="R11" s="5"/>
      <c r="S11" s="5"/>
      <c r="T11" s="5"/>
      <c r="Y11" s="11"/>
      <c r="Z11" s="11"/>
      <c r="AA11" s="3"/>
      <c r="AB11" s="3"/>
      <c r="AC11" s="3"/>
    </row>
    <row r="12" spans="1:29" s="9" customFormat="1" ht="20.149999999999999" customHeight="1">
      <c r="A12" s="26" t="s">
        <v>27</v>
      </c>
      <c r="B12" s="26" t="s">
        <v>46</v>
      </c>
      <c r="C12" s="26" t="s">
        <v>30</v>
      </c>
      <c r="D12" s="26" t="s">
        <v>24</v>
      </c>
      <c r="E12" s="31">
        <v>535.50400000000002</v>
      </c>
      <c r="F12" s="29">
        <v>668.92000800000005</v>
      </c>
      <c r="G12" s="29">
        <f t="shared" si="3"/>
        <v>358209.33996399998</v>
      </c>
      <c r="H12" s="29">
        <v>358209.34</v>
      </c>
      <c r="I12" s="29">
        <f t="shared" si="4"/>
        <v>358209.33996399998</v>
      </c>
      <c r="J12" s="30">
        <f t="shared" si="0"/>
        <v>668.92000800000005</v>
      </c>
      <c r="K12" s="30">
        <f t="shared" si="5"/>
        <v>61.875101000000001</v>
      </c>
      <c r="L12" s="32">
        <v>1</v>
      </c>
      <c r="M12" s="30">
        <f t="shared" si="1"/>
        <v>325074.97587800003</v>
      </c>
      <c r="N12" s="30">
        <f t="shared" si="2"/>
        <v>33134.364086000001</v>
      </c>
      <c r="O12" s="30">
        <f t="shared" si="6"/>
        <v>358209.33996400004</v>
      </c>
      <c r="P12" s="33"/>
      <c r="Q12" s="10"/>
      <c r="R12" s="5"/>
      <c r="S12" s="5"/>
      <c r="T12" s="5"/>
      <c r="Y12" s="11"/>
      <c r="Z12" s="11"/>
      <c r="AA12" s="3"/>
      <c r="AB12" s="3"/>
      <c r="AC12" s="3"/>
    </row>
    <row r="13" spans="1:29" s="9" customFormat="1" ht="20.149999999999999" customHeight="1">
      <c r="A13" s="26" t="s">
        <v>27</v>
      </c>
      <c r="B13" s="26" t="s">
        <v>47</v>
      </c>
      <c r="C13" s="26" t="s">
        <v>37</v>
      </c>
      <c r="D13" s="26" t="s">
        <v>20</v>
      </c>
      <c r="E13" s="31">
        <v>419.04399999999998</v>
      </c>
      <c r="F13" s="54">
        <v>443.48838983281416</v>
      </c>
      <c r="G13" s="55">
        <f>ROUND(F13*SUM(E13:E15),6)</f>
        <v>837844.91839799995</v>
      </c>
      <c r="H13" s="29">
        <v>185841.14882910176</v>
      </c>
      <c r="I13" s="55">
        <f>MIN(G13,SUM(H13:H15))</f>
        <v>837844.91839799995</v>
      </c>
      <c r="J13" s="34">
        <f>IF(SUM(E13:E15)=0,0,ROUND(I13/SUM(E13:E15),6))</f>
        <v>443.48838999999998</v>
      </c>
      <c r="K13" s="30">
        <f>ROUND(J13*0.0925,6)</f>
        <v>41.022675999999997</v>
      </c>
      <c r="L13" s="32">
        <v>1</v>
      </c>
      <c r="M13" s="30">
        <f t="shared" si="1"/>
        <v>168650.842657</v>
      </c>
      <c r="N13" s="30">
        <f t="shared" si="2"/>
        <v>17190.306241999999</v>
      </c>
      <c r="O13" s="30">
        <f t="shared" si="6"/>
        <v>185841.14889899999</v>
      </c>
      <c r="P13" s="33"/>
      <c r="Q13" s="10"/>
      <c r="R13" s="5"/>
      <c r="S13" s="5"/>
      <c r="T13" s="5"/>
      <c r="Y13" s="11"/>
      <c r="Z13" s="11"/>
      <c r="AA13" s="3"/>
      <c r="AB13" s="3"/>
      <c r="AC13" s="3"/>
    </row>
    <row r="14" spans="1:29" s="9" customFormat="1" ht="20.149999999999999" customHeight="1">
      <c r="A14" s="26" t="s">
        <v>27</v>
      </c>
      <c r="B14" s="26" t="s">
        <v>47</v>
      </c>
      <c r="C14" s="26" t="s">
        <v>31</v>
      </c>
      <c r="D14" s="26" t="s">
        <v>25</v>
      </c>
      <c r="E14" s="31">
        <v>1158.57</v>
      </c>
      <c r="F14" s="54"/>
      <c r="G14" s="55"/>
      <c r="H14" s="29">
        <v>513812.34380860347</v>
      </c>
      <c r="I14" s="55"/>
      <c r="J14" s="34">
        <f>J13</f>
        <v>443.48838999999998</v>
      </c>
      <c r="K14" s="30">
        <f>K13</f>
        <v>41.022675999999997</v>
      </c>
      <c r="L14" s="32">
        <v>1</v>
      </c>
      <c r="M14" s="30">
        <f t="shared" si="1"/>
        <v>466284.702269</v>
      </c>
      <c r="N14" s="30">
        <f t="shared" si="2"/>
        <v>47527.641732999997</v>
      </c>
      <c r="O14" s="30">
        <f t="shared" si="6"/>
        <v>513812.344002</v>
      </c>
      <c r="P14" s="33"/>
      <c r="Q14" s="10"/>
      <c r="R14" s="5"/>
      <c r="S14" s="5"/>
      <c r="T14" s="5"/>
      <c r="Y14" s="11"/>
      <c r="Z14" s="11"/>
      <c r="AA14" s="3"/>
      <c r="AB14" s="3"/>
      <c r="AC14" s="3"/>
    </row>
    <row r="15" spans="1:29" s="9" customFormat="1" ht="20.149999999999999" customHeight="1">
      <c r="A15" s="26" t="s">
        <v>27</v>
      </c>
      <c r="B15" s="26" t="s">
        <v>47</v>
      </c>
      <c r="C15" s="26" t="s">
        <v>32</v>
      </c>
      <c r="D15" s="26" t="s">
        <v>26</v>
      </c>
      <c r="E15" s="31">
        <v>311.601</v>
      </c>
      <c r="F15" s="54"/>
      <c r="G15" s="55"/>
      <c r="H15" s="29">
        <v>138191.42576029472</v>
      </c>
      <c r="I15" s="55"/>
      <c r="J15" s="34">
        <f>J14</f>
        <v>443.48838999999998</v>
      </c>
      <c r="K15" s="30">
        <f>K14</f>
        <v>41.022675999999997</v>
      </c>
      <c r="L15" s="32">
        <v>1</v>
      </c>
      <c r="M15" s="30">
        <f t="shared" si="1"/>
        <v>125408.71894799999</v>
      </c>
      <c r="N15" s="30">
        <f t="shared" si="2"/>
        <v>12782.706864</v>
      </c>
      <c r="O15" s="30">
        <f t="shared" si="6"/>
        <v>138191.425812</v>
      </c>
      <c r="P15" s="33"/>
      <c r="Q15" s="10"/>
      <c r="R15" s="5"/>
      <c r="S15" s="5"/>
      <c r="T15" s="5"/>
      <c r="Y15" s="11"/>
      <c r="Z15" s="11"/>
      <c r="AA15" s="3"/>
      <c r="AB15" s="3"/>
      <c r="AC15" s="3"/>
    </row>
    <row r="16" spans="1:29" s="44" customFormat="1" ht="20.149999999999999" customHeight="1">
      <c r="A16" s="40"/>
      <c r="B16" s="40"/>
      <c r="C16" s="40"/>
      <c r="D16" s="40"/>
      <c r="E16" s="46">
        <f>SUM(E5:E15)</f>
        <v>22408.233</v>
      </c>
      <c r="F16" s="41"/>
      <c r="G16" s="41"/>
      <c r="H16" s="46">
        <f>SUM(H5:H15)</f>
        <v>9196575.218398001</v>
      </c>
      <c r="I16" s="41"/>
      <c r="J16" s="42"/>
      <c r="K16" s="42"/>
      <c r="L16" s="42"/>
      <c r="M16" s="47">
        <f>SUM(M5:M15)</f>
        <v>8345892.0042989999</v>
      </c>
      <c r="N16" s="47">
        <f>SUM(N5:N15)</f>
        <v>850683.20929199981</v>
      </c>
      <c r="O16" s="47">
        <f>SUM(O5:O15)</f>
        <v>9196575.2135910001</v>
      </c>
      <c r="P16" s="42"/>
      <c r="Q16" s="42"/>
      <c r="R16" s="40"/>
      <c r="S16" s="40"/>
      <c r="T16" s="40"/>
      <c r="Y16" s="45"/>
      <c r="Z16" s="45"/>
      <c r="AA16" s="37"/>
      <c r="AB16" s="37"/>
      <c r="AC16" s="37"/>
    </row>
    <row r="17" spans="9:15" ht="19.5" customHeight="1">
      <c r="I17" s="15"/>
      <c r="M17" s="14"/>
      <c r="N17" s="14"/>
      <c r="O17" s="14"/>
    </row>
  </sheetData>
  <mergeCells count="3">
    <mergeCell ref="F13:F15"/>
    <mergeCell ref="G13:G15"/>
    <mergeCell ref="I13:I1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5587-EFD2-4141-862A-84711E7776F7}">
  <dimension ref="A1:N7"/>
  <sheetViews>
    <sheetView showGridLines="0" workbookViewId="0">
      <selection activeCell="A3" sqref="A3"/>
    </sheetView>
  </sheetViews>
  <sheetFormatPr defaultColWidth="8.6640625" defaultRowHeight="19.5" customHeight="1"/>
  <cols>
    <col min="1" max="1" width="30.6640625" customWidth="1"/>
    <col min="2" max="11" width="16.9140625" customWidth="1"/>
    <col min="12" max="15" width="20.6640625" customWidth="1"/>
    <col min="16" max="18" width="16.1640625" customWidth="1"/>
  </cols>
  <sheetData>
    <row r="1" spans="1:14" ht="49.5" customHeight="1">
      <c r="C1" s="2" t="str">
        <f>RESUMO!C1</f>
        <v>reembolso mensal CCC - ENERGISA MT</v>
      </c>
    </row>
    <row r="2" spans="1:14" ht="30" customHeight="1">
      <c r="C2" s="4" t="s">
        <v>53</v>
      </c>
      <c r="D2" s="12">
        <f>RESUMO!C2</f>
        <v>46143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60" customHeight="1">
      <c r="A3" s="22" t="s">
        <v>58</v>
      </c>
      <c r="B3" s="22" t="s">
        <v>79</v>
      </c>
      <c r="C3" s="22" t="s">
        <v>80</v>
      </c>
      <c r="D3" s="22" t="s">
        <v>81</v>
      </c>
      <c r="E3" s="22" t="s">
        <v>82</v>
      </c>
      <c r="F3" s="22" t="s">
        <v>86</v>
      </c>
      <c r="G3" s="22" t="s">
        <v>87</v>
      </c>
      <c r="H3" s="22" t="s">
        <v>88</v>
      </c>
      <c r="I3" s="22" t="s">
        <v>83</v>
      </c>
      <c r="J3" s="22" t="s">
        <v>84</v>
      </c>
      <c r="K3" s="22" t="s">
        <v>85</v>
      </c>
      <c r="L3" s="5"/>
      <c r="M3" s="5"/>
    </row>
    <row r="4" spans="1:14" s="9" customFormat="1" ht="20.149999999999999" customHeight="1">
      <c r="A4" s="26" t="s">
        <v>27</v>
      </c>
      <c r="B4" s="35" t="s">
        <v>50</v>
      </c>
      <c r="C4" s="26">
        <v>4.4999999999999998E-2</v>
      </c>
      <c r="D4" s="36">
        <v>321</v>
      </c>
      <c r="E4" s="28">
        <f>(D4*C4)</f>
        <v>14.445</v>
      </c>
      <c r="F4" s="30">
        <v>7359.06</v>
      </c>
      <c r="G4" s="30">
        <v>7359.06</v>
      </c>
      <c r="H4" s="30">
        <v>4311.83</v>
      </c>
      <c r="I4" s="30">
        <f>(4921.26+(H4*G4/F4))</f>
        <v>9233.09</v>
      </c>
      <c r="J4" s="28">
        <f>C4*$I$6</f>
        <v>415.48904999999996</v>
      </c>
      <c r="K4" s="30">
        <f>D4*J4</f>
        <v>133371.98504999999</v>
      </c>
      <c r="L4" s="5"/>
      <c r="M4" s="5"/>
    </row>
    <row r="5" spans="1:14" s="9" customFormat="1" ht="20.149999999999999" customHeight="1">
      <c r="A5" s="26" t="s">
        <v>27</v>
      </c>
      <c r="B5" s="35" t="s">
        <v>49</v>
      </c>
      <c r="C5" s="26">
        <v>0.08</v>
      </c>
      <c r="D5" s="36">
        <v>2271</v>
      </c>
      <c r="E5" s="28">
        <f>(D5*C5)</f>
        <v>181.68</v>
      </c>
      <c r="F5" s="30">
        <v>7359.06</v>
      </c>
      <c r="G5" s="30">
        <v>7359.06</v>
      </c>
      <c r="H5" s="30">
        <v>4311.83</v>
      </c>
      <c r="I5" s="30">
        <f>(4921.26+(H5*G5/F5))</f>
        <v>9233.09</v>
      </c>
      <c r="J5" s="28">
        <f>C5*$I$6</f>
        <v>738.6472</v>
      </c>
      <c r="K5" s="30">
        <f>D5*J5</f>
        <v>1677467.7912000001</v>
      </c>
      <c r="L5" s="5"/>
      <c r="M5" s="5"/>
    </row>
    <row r="6" spans="1:14" ht="19.5" customHeight="1">
      <c r="A6" s="26" t="s">
        <v>27</v>
      </c>
      <c r="B6" s="35" t="s">
        <v>51</v>
      </c>
      <c r="C6" s="26">
        <v>0.16</v>
      </c>
      <c r="D6" s="36">
        <v>24</v>
      </c>
      <c r="E6" s="28">
        <f t="shared" ref="E6" si="0">(D6*C6)</f>
        <v>3.84</v>
      </c>
      <c r="F6" s="30">
        <v>7359.06</v>
      </c>
      <c r="G6" s="30">
        <v>7359.06</v>
      </c>
      <c r="H6" s="30">
        <v>4311.83</v>
      </c>
      <c r="I6" s="30">
        <f>(4921.26+(H6*G6/F6))</f>
        <v>9233.09</v>
      </c>
      <c r="J6" s="28">
        <f>C6*$I$6</f>
        <v>1477.2944</v>
      </c>
      <c r="K6" s="30">
        <f t="shared" ref="K6" si="1">D6*J6</f>
        <v>35455.065600000002</v>
      </c>
    </row>
    <row r="7" spans="1:14" s="39" customFormat="1" ht="19.5" customHeight="1">
      <c r="C7" s="40"/>
      <c r="D7" s="41">
        <f>SUBTOTAL(9,D4:D6)</f>
        <v>2616</v>
      </c>
      <c r="E7" s="38">
        <f>SUBTOTAL(9,E4:E6)</f>
        <v>199.965</v>
      </c>
      <c r="J7" s="48"/>
      <c r="K7" s="38">
        <f>SUBTOTAL(9,K4:K6)</f>
        <v>1846294.8418500002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GERAÇÃO PRÓPRIA</vt:lpstr>
      <vt:lpstr>CONTRATOS CCVEE</vt:lpstr>
      <vt:lpstr>SIGFI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Lucia Barbosa de Oliveira</dc:creator>
  <cp:lastModifiedBy>Gabriela Pantoja Passos</cp:lastModifiedBy>
  <dcterms:created xsi:type="dcterms:W3CDTF">2019-04-29T22:08:02Z</dcterms:created>
  <dcterms:modified xsi:type="dcterms:W3CDTF">2026-07-15T14:47:57Z</dcterms:modified>
</cp:coreProperties>
</file>